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<sst xmlns="http://schemas.openxmlformats.org/spreadsheetml/2006/main" count="95" uniqueCount="83">
  <si>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Диам., мм</t>
  </si>
  <si>
    <t>ПРОВОЛОКА ПРУЖИННАЯ</t>
  </si>
  <si>
    <t>ГОСТ 5663-79 М10-20</t>
  </si>
  <si>
    <t>ХОЛОДНАЯ ВЫСАДКА</t>
  </si>
  <si>
    <t>ГОСТ 10702-78 (М 10-20 )</t>
  </si>
  <si>
    <t>60С2А, 2кл. Н-ХН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</si>
  <si>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</si>
  <si>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</si>
  <si>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</si>
  <si>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</si>
  <si>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</si>
  <si>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</si>
  <si>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</si>
  <si>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</si>
  <si>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</si>
  <si>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</si>
  <si>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</si>
  <si>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</si>
  <si>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</si>
  <si>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</si>
  <si>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</si>
  <si>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</si>
  <si>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</si>
  <si>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</si>
  <si>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</si>
  <si>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</si>
  <si>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</si>
  <si>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</si>
  <si>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</si>
  <si>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</si>
  <si>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</si>
  <si>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</si>
  <si>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</si>
  <si>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</si>
  <si>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</si>
  <si>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</si>
  <si>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</si>
  <si>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</si>
  <si>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</si>
  <si>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</si>
  <si>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</si>
  <si>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</si>
  <si>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</si>
  <si>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</si>
  <si>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</si>
  <si>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</si>
  <si>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</si>
  <si>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проволоки  пружинной</t>
  </si>
  <si>
    <t>Осуществляем отмотку, упаковку и доставку проволоки от 5 кг.</t>
  </si>
  <si>
    <t>Ф3,0</t>
  </si>
  <si>
    <t>Ф4,0-5,0</t>
  </si>
  <si>
    <t>хв</t>
  </si>
  <si>
    <t>а1</t>
  </si>
  <si>
    <t>б2</t>
  </si>
  <si>
    <t>конст</t>
  </si>
  <si>
    <t>От 1тн, руб с НДС</t>
  </si>
  <si>
    <t>ПРОВОЛОКА ПРУЖИННАЯ ЛЕГИРОВАННАЯ ГОСТ 14963</t>
  </si>
  <si>
    <t>ПРОВ.КОНСТРУКЦИОННАЯ</t>
  </si>
  <si>
    <t>Пров. конструкционная</t>
  </si>
  <si>
    <t>Б2</t>
  </si>
  <si>
    <t>60с2а</t>
  </si>
  <si>
    <t>Объём от 20тн, руб с НДС</t>
  </si>
  <si>
    <t xml:space="preserve"> ПРАЙС-ЛИСТ на  ПРОВОЛОКУ   от  ООО"АЛЬМА-МЕТ ТД"      на 01.07.2019г</t>
  </si>
  <si>
    <t>ГОСТ 3282 т/н оцинков</t>
  </si>
  <si>
    <t>т/н оц</t>
  </si>
  <si>
    <t>ТОЧ</t>
  </si>
  <si>
    <t>Диам,мм</t>
  </si>
  <si>
    <t>Проволока низкоуглеродистая ОК</t>
  </si>
  <si>
    <t>ПРАЙС-ЛИСТ МИНИ НА ПРОВОЛОКУ СО СКЛАДА В Г.ЭЛЕКТРОСТАЛЬ , СТРОИТЕЛЬНЫЙ ПЕР, Д.10</t>
  </si>
  <si>
    <t>КАЛИБРОВКА</t>
  </si>
  <si>
    <t>Пров. ВР1 ГОСТ6727-80 от20тн</t>
  </si>
  <si>
    <t>вр1</t>
  </si>
  <si>
    <t>Ф2,8-3,2</t>
  </si>
  <si>
    <t>Ф3,5-5,0</t>
  </si>
  <si>
    <t>Свароч.ГОСТ2246-70от1тн</t>
  </si>
  <si>
    <t>Пруж. легир.ГОСТ14963</t>
  </si>
  <si>
    <t xml:space="preserve">ТЕЛ.  8(495)198-09-20 , 8(906)708-32-76 </t>
  </si>
  <si>
    <t>Акция к 28-летию компании</t>
  </si>
  <si>
    <t>Время погрузки автомобиля на скл.5 мин.</t>
  </si>
  <si>
    <r>
      <t>скидка   3</t>
    </r>
    <r>
      <rPr>
        <b/>
        <sz val="12"/>
        <color indexed="8"/>
        <rFont val="Calibri"/>
        <family val="2"/>
      </rPr>
      <t>%  от прайса</t>
    </r>
  </si>
  <si>
    <t>20.10.2020Г</t>
  </si>
  <si>
    <t xml:space="preserve">От 20тн, руб </t>
  </si>
  <si>
    <t>От 1 тн, руб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</si>
</sst>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1,0 - 1,1&quot;"/>
    <numFmt numFmtId="167" formatCode="&quot;1,2 - 1,3&quot;"/>
    <numFmt numFmtId="168" formatCode="&quot;1,6 - 1,7&quot;"/>
    <numFmt numFmtId="169" formatCode="&quot;1,8 - 1,9&quot;"/>
    <numFmt numFmtId="170" formatCode="&quot;2,0 - 2,4&quot;"/>
    <numFmt numFmtId="171" formatCode="&quot;2,5 - 3,9&quot;"/>
    <numFmt numFmtId="172" formatCode="&quot;4,0 - 4,9&quot;"/>
    <numFmt numFmtId="173" formatCode="&quot;5,0 - 6,0&quot;"/>
    <numFmt numFmtId="174" formatCode="&quot;6,1 - 9,9&quot;"/>
    <numFmt numFmtId="175" formatCode="#,##0;\-#,##0;\-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26" fillId="33" borderId="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0" fillId="6" borderId="13" xfId="0" applyFont="1" applyFill="1" applyBorder="1" applyAlignment="1">
      <alignment/>
    </xf>
    <xf numFmtId="0" fontId="26" fillId="33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6" borderId="11" xfId="0" applyFont="1" applyFill="1" applyBorder="1" applyAlignment="1">
      <alignment/>
    </xf>
    <xf numFmtId="0" fontId="69" fillId="34" borderId="0" xfId="42" applyFont="1" applyFill="1" applyAlignment="1" applyProtection="1">
      <alignment/>
      <protection/>
    </xf>
    <xf numFmtId="0" fontId="62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68" fillId="6" borderId="15" xfId="0" applyFont="1" applyFill="1" applyBorder="1" applyAlignment="1">
      <alignment/>
    </xf>
    <xf numFmtId="0" fontId="40" fillId="6" borderId="16" xfId="0" applyFont="1" applyFill="1" applyBorder="1" applyAlignment="1">
      <alignment/>
    </xf>
    <xf numFmtId="0" fontId="68" fillId="6" borderId="14" xfId="0" applyFont="1" applyFill="1" applyBorder="1" applyAlignment="1">
      <alignment/>
    </xf>
    <xf numFmtId="0" fontId="40" fillId="6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37" fillId="33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49" fillId="33" borderId="19" xfId="0" applyNumberFormat="1" applyFont="1" applyFill="1" applyBorder="1" applyAlignment="1">
      <alignment horizontal="center"/>
    </xf>
    <xf numFmtId="164" fontId="49" fillId="33" borderId="21" xfId="0" applyNumberFormat="1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 horizontal="center"/>
    </xf>
    <xf numFmtId="165" fontId="37" fillId="33" borderId="23" xfId="0" applyNumberFormat="1" applyFont="1" applyFill="1" applyBorder="1" applyAlignment="1">
      <alignment horizontal="center"/>
    </xf>
    <xf numFmtId="3" fontId="40" fillId="33" borderId="24" xfId="0" applyNumberFormat="1" applyFont="1" applyFill="1" applyBorder="1" applyAlignment="1">
      <alignment/>
    </xf>
    <xf numFmtId="164" fontId="49" fillId="33" borderId="19" xfId="0" applyNumberFormat="1" applyFont="1" applyFill="1" applyBorder="1" applyAlignment="1">
      <alignment horizontal="center"/>
    </xf>
    <xf numFmtId="165" fontId="37" fillId="33" borderId="25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/>
    </xf>
    <xf numFmtId="4" fontId="49" fillId="0" borderId="19" xfId="0" applyNumberFormat="1" applyFont="1" applyFill="1" applyBorder="1" applyAlignment="1">
      <alignment horizontal="center"/>
    </xf>
    <xf numFmtId="165" fontId="37" fillId="33" borderId="26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64" fontId="49" fillId="33" borderId="27" xfId="0" applyNumberFormat="1" applyFont="1" applyFill="1" applyBorder="1" applyAlignment="1">
      <alignment horizontal="center"/>
    </xf>
    <xf numFmtId="3" fontId="40" fillId="33" borderId="28" xfId="0" applyNumberFormat="1" applyFont="1" applyFill="1" applyBorder="1" applyAlignment="1">
      <alignment horizontal="center"/>
    </xf>
    <xf numFmtId="164" fontId="49" fillId="33" borderId="29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33" borderId="25" xfId="53" applyFont="1" applyFill="1" applyBorder="1" applyAlignment="1">
      <alignment horizontal="center" vertical="center" wrapText="1"/>
      <protection/>
    </xf>
    <xf numFmtId="4" fontId="49" fillId="35" borderId="19" xfId="0" applyNumberFormat="1" applyFont="1" applyFill="1" applyBorder="1" applyAlignment="1">
      <alignment horizontal="center"/>
    </xf>
    <xf numFmtId="164" fontId="49" fillId="33" borderId="23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/>
    </xf>
    <xf numFmtId="164" fontId="49" fillId="33" borderId="25" xfId="0" applyNumberFormat="1" applyFont="1" applyFill="1" applyBorder="1" applyAlignment="1">
      <alignment horizontal="center"/>
    </xf>
    <xf numFmtId="49" fontId="37" fillId="33" borderId="25" xfId="53" applyNumberFormat="1" applyFont="1" applyFill="1" applyBorder="1" applyAlignment="1">
      <alignment horizontal="center" vertical="center" wrapText="1"/>
      <protection/>
    </xf>
    <xf numFmtId="164" fontId="49" fillId="33" borderId="26" xfId="0" applyNumberFormat="1" applyFont="1" applyFill="1" applyBorder="1" applyAlignment="1">
      <alignment horizontal="center"/>
    </xf>
    <xf numFmtId="4" fontId="37" fillId="33" borderId="29" xfId="0" applyNumberFormat="1" applyFont="1" applyFill="1" applyBorder="1" applyAlignment="1">
      <alignment horizontal="center"/>
    </xf>
    <xf numFmtId="4" fontId="49" fillId="33" borderId="29" xfId="0" applyNumberFormat="1" applyFont="1" applyFill="1" applyBorder="1" applyAlignment="1">
      <alignment horizontal="center"/>
    </xf>
    <xf numFmtId="0" fontId="49" fillId="34" borderId="30" xfId="0" applyFont="1" applyFill="1" applyBorder="1" applyAlignment="1">
      <alignment/>
    </xf>
    <xf numFmtId="0" fontId="40" fillId="34" borderId="30" xfId="0" applyFont="1" applyFill="1" applyBorder="1" applyAlignment="1">
      <alignment/>
    </xf>
    <xf numFmtId="0" fontId="49" fillId="6" borderId="11" xfId="0" applyFont="1" applyFill="1" applyBorder="1" applyAlignment="1">
      <alignment/>
    </xf>
    <xf numFmtId="0" fontId="49" fillId="0" borderId="31" xfId="0" applyFont="1" applyBorder="1" applyAlignment="1">
      <alignment/>
    </xf>
    <xf numFmtId="49" fontId="37" fillId="33" borderId="26" xfId="53" applyNumberFormat="1" applyFont="1" applyFill="1" applyBorder="1" applyAlignment="1">
      <alignment horizontal="center" vertical="center" wrapText="1"/>
      <protection/>
    </xf>
    <xf numFmtId="0" fontId="49" fillId="6" borderId="32" xfId="0" applyFont="1" applyFill="1" applyBorder="1" applyAlignment="1">
      <alignment/>
    </xf>
    <xf numFmtId="0" fontId="40" fillId="6" borderId="33" xfId="0" applyFont="1" applyFill="1" applyBorder="1" applyAlignment="1">
      <alignment/>
    </xf>
    <xf numFmtId="49" fontId="37" fillId="33" borderId="0" xfId="53" applyNumberFormat="1" applyFont="1" applyFill="1" applyBorder="1" applyAlignment="1">
      <alignment horizontal="center" vertical="center" wrapText="1"/>
      <protection/>
    </xf>
    <xf numFmtId="0" fontId="49" fillId="6" borderId="15" xfId="0" applyFont="1" applyFill="1" applyBorder="1" applyAlignment="1">
      <alignment/>
    </xf>
    <xf numFmtId="0" fontId="0" fillId="33" borderId="31" xfId="0" applyFill="1" applyBorder="1" applyAlignment="1">
      <alignment/>
    </xf>
    <xf numFmtId="1" fontId="0" fillId="33" borderId="31" xfId="0" applyNumberFormat="1" applyFill="1" applyBorder="1" applyAlignment="1">
      <alignment/>
    </xf>
    <xf numFmtId="0" fontId="63" fillId="0" borderId="0" xfId="0" applyFont="1" applyAlignment="1">
      <alignment horizontal="right"/>
    </xf>
    <xf numFmtId="175" fontId="6" fillId="0" borderId="34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8" fontId="6" fillId="0" borderId="25" xfId="0" applyNumberFormat="1" applyFont="1" applyFill="1" applyBorder="1" applyAlignment="1">
      <alignment horizontal="center" vertical="center"/>
    </xf>
    <xf numFmtId="169" fontId="6" fillId="0" borderId="25" xfId="0" applyNumberFormat="1" applyFont="1" applyFill="1" applyBorder="1" applyAlignment="1">
      <alignment horizontal="center" vertical="center"/>
    </xf>
    <xf numFmtId="170" fontId="6" fillId="0" borderId="25" xfId="0" applyNumberFormat="1" applyFont="1" applyFill="1" applyBorder="1" applyAlignment="1">
      <alignment horizontal="center" vertical="center"/>
    </xf>
    <xf numFmtId="171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4" fontId="6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8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2" borderId="17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58" fillId="0" borderId="35" xfId="0" applyFont="1" applyBorder="1" applyAlignment="1">
      <alignment horizontal="center" vertical="center" wrapText="1"/>
    </xf>
    <xf numFmtId="3" fontId="40" fillId="33" borderId="36" xfId="0" applyNumberFormat="1" applyFont="1" applyFill="1" applyBorder="1" applyAlignment="1">
      <alignment/>
    </xf>
    <xf numFmtId="1" fontId="40" fillId="0" borderId="37" xfId="0" applyNumberFormat="1" applyFont="1" applyBorder="1" applyAlignment="1">
      <alignment/>
    </xf>
    <xf numFmtId="0" fontId="40" fillId="2" borderId="17" xfId="0" applyFont="1" applyFill="1" applyBorder="1" applyAlignment="1">
      <alignment/>
    </xf>
    <xf numFmtId="0" fontId="56" fillId="2" borderId="14" xfId="0" applyFont="1" applyFill="1" applyBorder="1" applyAlignment="1">
      <alignment/>
    </xf>
    <xf numFmtId="0" fontId="56" fillId="2" borderId="17" xfId="0" applyFont="1" applyFill="1" applyBorder="1" applyAlignment="1">
      <alignment/>
    </xf>
    <xf numFmtId="0" fontId="49" fillId="0" borderId="38" xfId="0" applyFont="1" applyBorder="1" applyAlignment="1">
      <alignment/>
    </xf>
    <xf numFmtId="0" fontId="49" fillId="0" borderId="30" xfId="0" applyFont="1" applyBorder="1" applyAlignment="1">
      <alignment/>
    </xf>
    <xf numFmtId="0" fontId="68" fillId="2" borderId="14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70" fillId="6" borderId="14" xfId="0" applyFont="1" applyFill="1" applyBorder="1" applyAlignment="1">
      <alignment horizontal="center" vertical="center"/>
    </xf>
    <xf numFmtId="0" fontId="70" fillId="6" borderId="39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 wrapText="1"/>
    </xf>
    <xf numFmtId="0" fontId="70" fillId="6" borderId="4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2" fontId="49" fillId="6" borderId="11" xfId="0" applyNumberFormat="1" applyFont="1" applyFill="1" applyBorder="1" applyAlignment="1">
      <alignment horizontal="center" wrapText="1"/>
    </xf>
    <xf numFmtId="2" fontId="49" fillId="6" borderId="13" xfId="0" applyNumberFormat="1" applyFont="1" applyFill="1" applyBorder="1" applyAlignment="1">
      <alignment horizontal="center" wrapText="1"/>
    </xf>
    <xf numFmtId="2" fontId="49" fillId="6" borderId="15" xfId="0" applyNumberFormat="1" applyFont="1" applyFill="1" applyBorder="1" applyAlignment="1">
      <alignment horizontal="center" wrapText="1"/>
    </xf>
    <xf numFmtId="2" fontId="49" fillId="6" borderId="16" xfId="0" applyNumberFormat="1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68" fillId="2" borderId="14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68" fillId="2" borderId="11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3" fontId="0" fillId="33" borderId="36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41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2.00390625" style="0" customWidth="1"/>
    <col min="2" max="2" width="10.8515625" style="5" customWidth="1"/>
    <col min="3" max="3" width="19.28125" style="0" customWidth="1"/>
    <col min="4" max="4" width="2.57421875" style="0" customWidth="1"/>
    <col min="5" max="5" width="11.00390625" style="5" customWidth="1"/>
    <col min="6" max="6" width="21.00390625" style="0" customWidth="1"/>
    <col min="7" max="7" width="2.57421875" style="0" customWidth="1"/>
    <col min="8" max="8" width="11.00390625" style="5" customWidth="1"/>
    <col min="9" max="9" width="15.57421875" style="0" customWidth="1"/>
    <col min="10" max="10" width="2.57421875" style="0" customWidth="1"/>
    <col min="11" max="11" width="10.00390625" style="5" customWidth="1"/>
    <col min="12" max="12" width="11.28125" style="0" customWidth="1"/>
    <col min="13" max="13" width="9.140625" style="80" customWidth="1"/>
    <col min="14" max="17" width="9.140625" style="0" customWidth="1"/>
    <col min="18" max="18" width="11.57421875" style="0" hidden="1" customWidth="1"/>
    <col min="19" max="19" width="10.7109375" style="0" hidden="1" customWidth="1"/>
    <col min="20" max="34" width="9.140625" style="0" hidden="1" customWidth="1"/>
    <col min="35" max="37" width="9.140625" style="0" customWidth="1"/>
  </cols>
  <sheetData>
    <row r="1" ht="15"/>
    <row r="2" spans="1:12" ht="21">
      <c r="A2" s="117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0.25">
      <c r="A4" s="119" t="s">
        <v>41</v>
      </c>
      <c r="B4" s="119"/>
      <c r="C4" s="119"/>
      <c r="D4" s="119"/>
      <c r="E4" s="119"/>
      <c r="F4" s="119"/>
      <c r="G4" s="118" t="s">
        <v>39</v>
      </c>
      <c r="H4" s="118"/>
      <c r="I4" s="118"/>
      <c r="J4" s="118"/>
      <c r="K4" s="118"/>
      <c r="L4" s="118"/>
      <c r="M4" s="114"/>
      <c r="N4" s="114"/>
      <c r="O4" s="114"/>
      <c r="P4" s="114"/>
      <c r="Q4" s="114"/>
      <c r="R4" s="114"/>
    </row>
    <row r="5" spans="1:12" ht="50.2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67"/>
    </row>
    <row r="6" spans="3:12" ht="20.25" customHeight="1" thickBot="1">
      <c r="C6" s="5" t="s">
        <v>68</v>
      </c>
      <c r="L6" s="10" t="s">
        <v>80</v>
      </c>
    </row>
    <row r="7" spans="2:29" ht="30" customHeight="1" thickBot="1">
      <c r="B7" s="103" t="s">
        <v>1</v>
      </c>
      <c r="C7" s="104"/>
      <c r="D7" s="104"/>
      <c r="E7" s="104"/>
      <c r="F7" s="105"/>
      <c r="G7" s="2"/>
      <c r="H7" s="103" t="s">
        <v>3</v>
      </c>
      <c r="I7" s="105"/>
      <c r="J7" s="2"/>
      <c r="K7" s="106" t="s">
        <v>67</v>
      </c>
      <c r="L7" s="107"/>
      <c r="M7" s="84"/>
      <c r="N7" s="83"/>
      <c r="R7" t="s">
        <v>52</v>
      </c>
      <c r="S7" t="s">
        <v>53</v>
      </c>
      <c r="T7" t="s">
        <v>64</v>
      </c>
      <c r="U7" t="s">
        <v>51</v>
      </c>
      <c r="V7">
        <v>10702</v>
      </c>
      <c r="AC7" t="s">
        <v>65</v>
      </c>
    </row>
    <row r="8" spans="2:13" ht="15.75" thickBot="1">
      <c r="B8" s="99" t="s">
        <v>30</v>
      </c>
      <c r="C8" s="100"/>
      <c r="E8" s="101" t="s">
        <v>29</v>
      </c>
      <c r="F8" s="102"/>
      <c r="H8" s="97" t="s">
        <v>2</v>
      </c>
      <c r="I8" s="98"/>
      <c r="K8" s="108" t="s">
        <v>63</v>
      </c>
      <c r="L8" s="109"/>
      <c r="M8" s="85" t="s">
        <v>65</v>
      </c>
    </row>
    <row r="9" spans="2:30" ht="24" customHeight="1" thickBot="1">
      <c r="B9" s="13" t="s">
        <v>0</v>
      </c>
      <c r="C9" s="1" t="s">
        <v>31</v>
      </c>
      <c r="E9" s="4" t="s">
        <v>0</v>
      </c>
      <c r="F9" s="1" t="s">
        <v>31</v>
      </c>
      <c r="H9" s="3" t="s">
        <v>0</v>
      </c>
      <c r="I9" s="1" t="s">
        <v>31</v>
      </c>
      <c r="K9" s="4" t="s">
        <v>66</v>
      </c>
      <c r="L9" s="86" t="s">
        <v>31</v>
      </c>
      <c r="M9" s="81" t="s">
        <v>31</v>
      </c>
      <c r="AD9" t="s">
        <v>59</v>
      </c>
    </row>
    <row r="10" spans="2:30" s="27" customFormat="1" ht="15.75" customHeight="1" thickBot="1">
      <c r="B10" s="28">
        <v>0.2</v>
      </c>
      <c r="C10" s="29">
        <f>R10*1.08</f>
        <v>345600</v>
      </c>
      <c r="E10" s="30">
        <v>0.2</v>
      </c>
      <c r="F10" s="25">
        <f aca="true" t="shared" si="0" ref="F10:F24">(AD10+5000)*1.05</f>
        <v>299250</v>
      </c>
      <c r="H10" s="31">
        <v>2.2</v>
      </c>
      <c r="I10" s="32">
        <f aca="true" t="shared" si="1" ref="I10:I22">U10*1.43*1.3</f>
        <v>113487.09100947878</v>
      </c>
      <c r="K10" s="69">
        <v>0.8</v>
      </c>
      <c r="L10" s="87">
        <f>T10*1.2</f>
        <v>81553.2</v>
      </c>
      <c r="M10" s="88">
        <f>AC10*1.35</f>
        <v>71266.5</v>
      </c>
      <c r="R10" s="95">
        <v>320000</v>
      </c>
      <c r="S10" s="25">
        <v>350000</v>
      </c>
      <c r="T10" s="68">
        <f>ROUND(67960.71*1,0)</f>
        <v>67961</v>
      </c>
      <c r="U10" s="122">
        <v>61047.38623425432</v>
      </c>
      <c r="V10" s="34">
        <v>80357</v>
      </c>
      <c r="AC10" s="68">
        <f>ROUND(52790*1,0)</f>
        <v>52790</v>
      </c>
      <c r="AD10" s="25">
        <v>280000</v>
      </c>
    </row>
    <row r="11" spans="2:30" s="27" customFormat="1" ht="15.75" customHeight="1" thickBot="1">
      <c r="B11" s="28">
        <v>0.22</v>
      </c>
      <c r="C11" s="29">
        <f aca="true" t="shared" si="2" ref="C11:C47">R11*1.08</f>
        <v>324000</v>
      </c>
      <c r="E11" s="30">
        <v>0.22</v>
      </c>
      <c r="F11" s="25">
        <f t="shared" si="0"/>
        <v>267750</v>
      </c>
      <c r="H11" s="35">
        <v>2.4</v>
      </c>
      <c r="I11" s="32">
        <f t="shared" si="1"/>
        <v>112339.77246727548</v>
      </c>
      <c r="K11" s="70">
        <v>0.9</v>
      </c>
      <c r="L11" s="87">
        <f aca="true" t="shared" si="3" ref="L11:L22">T11*1.2</f>
        <v>78932.4</v>
      </c>
      <c r="M11" s="88">
        <f aca="true" t="shared" si="4" ref="M11:M22">AC11*1.35</f>
        <v>69749.1</v>
      </c>
      <c r="R11" s="95">
        <v>300000</v>
      </c>
      <c r="S11" s="25">
        <v>300000</v>
      </c>
      <c r="T11" s="68">
        <f>ROUND(65776.61*1,0)</f>
        <v>65777</v>
      </c>
      <c r="U11" s="123">
        <v>60430.21649665169</v>
      </c>
      <c r="V11" s="37">
        <v>76507</v>
      </c>
      <c r="AC11" s="68">
        <f>ROUND(51665.83*1,0)</f>
        <v>51666</v>
      </c>
      <c r="AD11" s="25">
        <v>250000</v>
      </c>
    </row>
    <row r="12" spans="2:30" s="27" customFormat="1" ht="15.75" customHeight="1" thickBot="1">
      <c r="B12" s="28">
        <v>0.25</v>
      </c>
      <c r="C12" s="29">
        <f t="shared" si="2"/>
        <v>291600</v>
      </c>
      <c r="E12" s="30">
        <v>0.25</v>
      </c>
      <c r="F12" s="25">
        <f t="shared" si="0"/>
        <v>246750</v>
      </c>
      <c r="H12" s="35">
        <v>2.5</v>
      </c>
      <c r="I12" s="32">
        <f t="shared" si="1"/>
        <v>111384.95703618017</v>
      </c>
      <c r="K12" s="71">
        <v>1</v>
      </c>
      <c r="L12" s="87">
        <f t="shared" si="3"/>
        <v>73689.59999999999</v>
      </c>
      <c r="M12" s="88">
        <f t="shared" si="4"/>
        <v>65697.75</v>
      </c>
      <c r="R12" s="95">
        <v>270000</v>
      </c>
      <c r="S12" s="25">
        <v>280000</v>
      </c>
      <c r="T12" s="68">
        <f>ROUND(61408.41*1,0)</f>
        <v>61408</v>
      </c>
      <c r="U12" s="123">
        <v>59916.5987284455</v>
      </c>
      <c r="V12" s="37">
        <v>75016</v>
      </c>
      <c r="AC12" s="68">
        <f>ROUND(48665*1,0)</f>
        <v>48665</v>
      </c>
      <c r="AD12" s="25">
        <v>230000</v>
      </c>
    </row>
    <row r="13" spans="2:30" s="27" customFormat="1" ht="15.75" customHeight="1" thickBot="1">
      <c r="B13" s="28">
        <v>0.28</v>
      </c>
      <c r="C13" s="29">
        <f t="shared" si="2"/>
        <v>280800</v>
      </c>
      <c r="E13" s="30">
        <v>0.28</v>
      </c>
      <c r="F13" s="25">
        <f t="shared" si="0"/>
        <v>236250</v>
      </c>
      <c r="H13" s="35">
        <v>2.8</v>
      </c>
      <c r="I13" s="32">
        <f t="shared" si="1"/>
        <v>109860.33239620533</v>
      </c>
      <c r="K13" s="72">
        <v>1.2</v>
      </c>
      <c r="L13" s="87">
        <f t="shared" si="3"/>
        <v>71157.59999999999</v>
      </c>
      <c r="M13" s="88">
        <f t="shared" si="4"/>
        <v>63609.3</v>
      </c>
      <c r="R13" s="95">
        <v>260000</v>
      </c>
      <c r="S13" s="25">
        <v>280000</v>
      </c>
      <c r="T13" s="68">
        <f>ROUND(59298.03*1,0)</f>
        <v>59298</v>
      </c>
      <c r="U13" s="123">
        <v>59096.46713082589</v>
      </c>
      <c r="V13" s="37">
        <v>69460</v>
      </c>
      <c r="AC13" s="68">
        <f>ROUND(47117.5*1,0)</f>
        <v>47118</v>
      </c>
      <c r="AD13" s="25">
        <v>220000</v>
      </c>
    </row>
    <row r="14" spans="2:30" s="27" customFormat="1" ht="15.75" customHeight="1" thickBot="1">
      <c r="B14" s="28">
        <v>0.3</v>
      </c>
      <c r="C14" s="29">
        <f t="shared" si="2"/>
        <v>264600</v>
      </c>
      <c r="E14" s="30">
        <v>0.3</v>
      </c>
      <c r="F14" s="25">
        <f t="shared" si="0"/>
        <v>204750</v>
      </c>
      <c r="H14" s="35">
        <v>3</v>
      </c>
      <c r="I14" s="32">
        <f t="shared" si="1"/>
        <v>108705.31372955775</v>
      </c>
      <c r="K14" s="70">
        <v>1.4</v>
      </c>
      <c r="L14" s="87">
        <f t="shared" si="3"/>
        <v>69238.8</v>
      </c>
      <c r="M14" s="88">
        <f t="shared" si="4"/>
        <v>62594.100000000006</v>
      </c>
      <c r="R14" s="95">
        <v>245000</v>
      </c>
      <c r="S14" s="25">
        <v>250000</v>
      </c>
      <c r="T14" s="68">
        <f>ROUND(57698.84*1,0)</f>
        <v>57699</v>
      </c>
      <c r="U14" s="123">
        <v>58475.15531444742</v>
      </c>
      <c r="V14" s="37">
        <v>75016</v>
      </c>
      <c r="AC14" s="68">
        <f>ROUND(46365.83*1,0)</f>
        <v>46366</v>
      </c>
      <c r="AD14" s="25">
        <v>190000</v>
      </c>
    </row>
    <row r="15" spans="2:30" s="27" customFormat="1" ht="15.75" customHeight="1" thickBot="1">
      <c r="B15" s="28">
        <v>0.32</v>
      </c>
      <c r="C15" s="29">
        <f t="shared" si="2"/>
        <v>248400.00000000003</v>
      </c>
      <c r="E15" s="30">
        <v>0.32</v>
      </c>
      <c r="F15" s="25">
        <f t="shared" si="0"/>
        <v>194250</v>
      </c>
      <c r="H15" s="35">
        <v>3.2</v>
      </c>
      <c r="I15" s="32">
        <f t="shared" si="1"/>
        <v>108135.50452067824</v>
      </c>
      <c r="K15" s="70">
        <v>1.5</v>
      </c>
      <c r="L15" s="87">
        <f t="shared" si="3"/>
        <v>67764</v>
      </c>
      <c r="M15" s="88">
        <f t="shared" si="4"/>
        <v>62594.100000000006</v>
      </c>
      <c r="R15" s="95">
        <v>230000</v>
      </c>
      <c r="S15" s="25">
        <v>230000</v>
      </c>
      <c r="T15" s="68">
        <f>ROUND(56469.87*1,0)</f>
        <v>56470</v>
      </c>
      <c r="U15" s="123">
        <v>58168.64148503402</v>
      </c>
      <c r="V15" s="37">
        <v>70545</v>
      </c>
      <c r="AC15" s="68">
        <f>ROUND(46365.83*1,0)</f>
        <v>46366</v>
      </c>
      <c r="AD15" s="25">
        <v>180000</v>
      </c>
    </row>
    <row r="16" spans="2:30" s="27" customFormat="1" ht="15.75" customHeight="1" thickBot="1">
      <c r="B16" s="28">
        <v>0.36</v>
      </c>
      <c r="C16" s="29">
        <f t="shared" si="2"/>
        <v>226800.00000000003</v>
      </c>
      <c r="E16" s="30">
        <v>0.36</v>
      </c>
      <c r="F16" s="25">
        <f t="shared" si="0"/>
        <v>194250</v>
      </c>
      <c r="H16" s="35">
        <v>3.4</v>
      </c>
      <c r="I16" s="32">
        <f t="shared" si="1"/>
        <v>106988.18597847504</v>
      </c>
      <c r="K16" s="73">
        <v>1.6</v>
      </c>
      <c r="L16" s="87">
        <f t="shared" si="3"/>
        <v>66999.59999999999</v>
      </c>
      <c r="M16" s="88">
        <f t="shared" si="4"/>
        <v>62344.350000000006</v>
      </c>
      <c r="R16" s="95">
        <v>210000</v>
      </c>
      <c r="S16" s="25">
        <v>220000</v>
      </c>
      <c r="T16" s="68">
        <f>ROUND(55833.11*1,0)</f>
        <v>55833</v>
      </c>
      <c r="U16" s="123">
        <v>57551.47174743144</v>
      </c>
      <c r="V16" s="37">
        <v>70545</v>
      </c>
      <c r="AC16" s="68">
        <f>ROUND(46180.83*1,0)</f>
        <v>46181</v>
      </c>
      <c r="AD16" s="25">
        <v>180000</v>
      </c>
    </row>
    <row r="17" spans="2:30" s="27" customFormat="1" ht="15.75" customHeight="1" thickBot="1">
      <c r="B17" s="28">
        <v>0.4</v>
      </c>
      <c r="C17" s="29">
        <f t="shared" si="2"/>
        <v>194400</v>
      </c>
      <c r="E17" s="30">
        <v>0.4</v>
      </c>
      <c r="F17" s="25">
        <f t="shared" si="0"/>
        <v>152250</v>
      </c>
      <c r="H17" s="35">
        <v>3.6</v>
      </c>
      <c r="I17" s="32">
        <f t="shared" si="1"/>
        <v>106410.6766451512</v>
      </c>
      <c r="K17" s="74">
        <v>1.8</v>
      </c>
      <c r="L17" s="87">
        <f t="shared" si="3"/>
        <v>66436.8</v>
      </c>
      <c r="M17" s="88">
        <f t="shared" si="4"/>
        <v>62117.55</v>
      </c>
      <c r="R17" s="95">
        <v>180000</v>
      </c>
      <c r="S17" s="25">
        <v>190000</v>
      </c>
      <c r="T17" s="68">
        <f>ROUND(55364.05*1,0)</f>
        <v>55364</v>
      </c>
      <c r="U17" s="123">
        <v>57240.81583924217</v>
      </c>
      <c r="V17" s="37">
        <v>70545</v>
      </c>
      <c r="AC17" s="68">
        <f>ROUND(46013.33*1,0)</f>
        <v>46013</v>
      </c>
      <c r="AD17" s="25">
        <v>140000</v>
      </c>
    </row>
    <row r="18" spans="2:30" s="27" customFormat="1" ht="15.75" customHeight="1" thickBot="1">
      <c r="B18" s="28">
        <v>0.45</v>
      </c>
      <c r="C18" s="29">
        <f t="shared" si="2"/>
        <v>183600</v>
      </c>
      <c r="E18" s="30">
        <v>0.45</v>
      </c>
      <c r="F18" s="25">
        <f t="shared" si="0"/>
        <v>143850</v>
      </c>
      <c r="H18" s="35">
        <v>3.8</v>
      </c>
      <c r="I18" s="32">
        <f t="shared" si="1"/>
        <v>106218.17353404325</v>
      </c>
      <c r="K18" s="75">
        <v>2</v>
      </c>
      <c r="L18" s="87">
        <f t="shared" si="3"/>
        <v>65482.799999999996</v>
      </c>
      <c r="M18" s="88">
        <f t="shared" si="4"/>
        <v>62117.55</v>
      </c>
      <c r="R18" s="95">
        <v>170000</v>
      </c>
      <c r="S18" s="25">
        <v>180000</v>
      </c>
      <c r="T18" s="68">
        <f>ROUND(54568.51*1,0)</f>
        <v>54569</v>
      </c>
      <c r="U18" s="123">
        <v>57137.263869845745</v>
      </c>
      <c r="V18" s="37">
        <v>70545</v>
      </c>
      <c r="AC18" s="68">
        <f>ROUND(46013.33*1,0)</f>
        <v>46013</v>
      </c>
      <c r="AD18" s="25">
        <v>132000</v>
      </c>
    </row>
    <row r="19" spans="2:30" s="27" customFormat="1" ht="15.75" customHeight="1" thickBot="1">
      <c r="B19" s="28">
        <v>0.5</v>
      </c>
      <c r="C19" s="29">
        <f t="shared" si="2"/>
        <v>178200</v>
      </c>
      <c r="E19" s="38">
        <v>0.5</v>
      </c>
      <c r="F19" s="25">
        <f t="shared" si="0"/>
        <v>141750</v>
      </c>
      <c r="H19" s="35">
        <v>4</v>
      </c>
      <c r="I19" s="32">
        <f t="shared" si="1"/>
        <v>105840.86743627173</v>
      </c>
      <c r="K19" s="76">
        <v>2.5</v>
      </c>
      <c r="L19" s="87">
        <f t="shared" si="3"/>
        <v>63432</v>
      </c>
      <c r="M19" s="88">
        <f t="shared" si="4"/>
        <v>59117.850000000006</v>
      </c>
      <c r="R19" s="95">
        <v>165000</v>
      </c>
      <c r="S19" s="25">
        <v>180000</v>
      </c>
      <c r="T19" s="68">
        <f>ROUND(52859.95*1,0)</f>
        <v>52860</v>
      </c>
      <c r="U19" s="123">
        <v>56934.302009828796</v>
      </c>
      <c r="V19" s="37">
        <v>70545</v>
      </c>
      <c r="AC19" s="68">
        <f>ROUND(43790.83*1,0)</f>
        <v>43791</v>
      </c>
      <c r="AD19" s="25">
        <v>130000</v>
      </c>
    </row>
    <row r="20" spans="2:30" s="27" customFormat="1" ht="15.75" customHeight="1" thickBot="1">
      <c r="B20" s="28">
        <v>0.56</v>
      </c>
      <c r="C20" s="29">
        <f t="shared" si="2"/>
        <v>167400</v>
      </c>
      <c r="E20" s="38">
        <v>0.56</v>
      </c>
      <c r="F20" s="25">
        <f t="shared" si="0"/>
        <v>131250</v>
      </c>
      <c r="H20" s="35">
        <v>4.2</v>
      </c>
      <c r="I20" s="32">
        <f t="shared" si="1"/>
        <v>105078.5551162843</v>
      </c>
      <c r="K20" s="77">
        <v>4</v>
      </c>
      <c r="L20" s="87">
        <f t="shared" si="3"/>
        <v>62826</v>
      </c>
      <c r="M20" s="88">
        <f t="shared" si="4"/>
        <v>58839.75000000001</v>
      </c>
      <c r="R20" s="95">
        <v>155000</v>
      </c>
      <c r="S20" s="25">
        <v>137000</v>
      </c>
      <c r="T20" s="68">
        <f>ROUND(52355.24*1,0)</f>
        <v>52355</v>
      </c>
      <c r="U20" s="123">
        <v>56524.23621101899</v>
      </c>
      <c r="AC20" s="68">
        <f>ROUND(43585*1,0)</f>
        <v>43585</v>
      </c>
      <c r="AD20" s="25">
        <v>120000</v>
      </c>
    </row>
    <row r="21" spans="2:30" s="27" customFormat="1" ht="15.75" customHeight="1" thickBot="1">
      <c r="B21" s="28">
        <v>0.6</v>
      </c>
      <c r="C21" s="29">
        <f t="shared" si="2"/>
        <v>162000</v>
      </c>
      <c r="E21" s="38">
        <v>0.6</v>
      </c>
      <c r="F21" s="25">
        <f t="shared" si="0"/>
        <v>131250</v>
      </c>
      <c r="H21" s="35">
        <v>4.8</v>
      </c>
      <c r="I21" s="32">
        <f t="shared" si="1"/>
        <v>104308.54267185263</v>
      </c>
      <c r="K21" s="78">
        <v>5</v>
      </c>
      <c r="L21" s="87">
        <f t="shared" si="3"/>
        <v>62826</v>
      </c>
      <c r="M21" s="88">
        <f t="shared" si="4"/>
        <v>58839.75000000001</v>
      </c>
      <c r="R21" s="95">
        <v>150000</v>
      </c>
      <c r="S21" s="25">
        <v>132000</v>
      </c>
      <c r="T21" s="68">
        <f>ROUND(52355.24*1,0)</f>
        <v>52355</v>
      </c>
      <c r="U21" s="123">
        <v>56110.028333433365</v>
      </c>
      <c r="AC21" s="68">
        <f>ROUND(43585*1,0)</f>
        <v>43585</v>
      </c>
      <c r="AD21" s="25">
        <v>120000</v>
      </c>
    </row>
    <row r="22" spans="2:30" s="27" customFormat="1" ht="15.75" customHeight="1" thickBot="1">
      <c r="B22" s="28">
        <v>0.63</v>
      </c>
      <c r="C22" s="29">
        <f t="shared" si="2"/>
        <v>151200</v>
      </c>
      <c r="E22" s="38">
        <v>0.63</v>
      </c>
      <c r="F22" s="25">
        <f t="shared" si="0"/>
        <v>129150</v>
      </c>
      <c r="H22" s="35">
        <v>5.3</v>
      </c>
      <c r="I22" s="32">
        <f t="shared" si="1"/>
        <v>103546.23035186518</v>
      </c>
      <c r="K22" s="79">
        <v>6.1</v>
      </c>
      <c r="L22" s="87">
        <f t="shared" si="3"/>
        <v>74395.2</v>
      </c>
      <c r="M22" s="88">
        <f t="shared" si="4"/>
        <v>58650.75000000001</v>
      </c>
      <c r="R22" s="95">
        <v>140000</v>
      </c>
      <c r="S22" s="25">
        <v>130000</v>
      </c>
      <c r="T22" s="68">
        <f>ROUND(61995.75*1,0)</f>
        <v>61996</v>
      </c>
      <c r="U22" s="123">
        <v>55699.96253462355</v>
      </c>
      <c r="AC22" s="68">
        <f>ROUND(43445*1,0)</f>
        <v>43445</v>
      </c>
      <c r="AD22" s="25">
        <v>118000</v>
      </c>
    </row>
    <row r="23" spans="2:30" s="27" customFormat="1" ht="15.75" customHeight="1" thickBot="1">
      <c r="B23" s="28">
        <v>0.7</v>
      </c>
      <c r="C23" s="29">
        <f t="shared" si="2"/>
        <v>145800</v>
      </c>
      <c r="E23" s="38">
        <v>0.7</v>
      </c>
      <c r="F23" s="25">
        <f t="shared" si="0"/>
        <v>120750</v>
      </c>
      <c r="H23" s="41">
        <v>6</v>
      </c>
      <c r="I23" s="32">
        <f>U23*1.43*1.3</f>
        <v>102968.72101854134</v>
      </c>
      <c r="M23" s="82"/>
      <c r="R23" s="95">
        <v>135000</v>
      </c>
      <c r="S23" s="25">
        <v>120000</v>
      </c>
      <c r="U23" s="124">
        <v>55389.30662643429</v>
      </c>
      <c r="AC23" s="29">
        <f aca="true" t="shared" si="5" ref="AC23:AC47">AR23*1.08</f>
        <v>0</v>
      </c>
      <c r="AD23" s="25">
        <v>110000</v>
      </c>
    </row>
    <row r="24" spans="2:30" s="27" customFormat="1" ht="15.75" customHeight="1" thickBot="1">
      <c r="B24" s="28">
        <v>0.8</v>
      </c>
      <c r="C24" s="29">
        <f t="shared" si="2"/>
        <v>138240</v>
      </c>
      <c r="E24" s="38">
        <v>0.8</v>
      </c>
      <c r="F24" s="25">
        <f t="shared" si="0"/>
        <v>110250</v>
      </c>
      <c r="H24" s="43"/>
      <c r="I24" s="42"/>
      <c r="K24" s="94" t="s">
        <v>75</v>
      </c>
      <c r="L24" s="91"/>
      <c r="M24" s="82"/>
      <c r="R24" s="95">
        <v>128000</v>
      </c>
      <c r="S24" s="25">
        <v>120000</v>
      </c>
      <c r="AC24" s="29">
        <f t="shared" si="5"/>
        <v>0</v>
      </c>
      <c r="AD24" s="25">
        <v>100000</v>
      </c>
    </row>
    <row r="25" spans="2:30" s="27" customFormat="1" ht="15.75" customHeight="1" thickBot="1">
      <c r="B25" s="28">
        <v>0.9</v>
      </c>
      <c r="C25" s="29">
        <f t="shared" si="2"/>
        <v>131760</v>
      </c>
      <c r="E25" s="38">
        <v>0.9</v>
      </c>
      <c r="F25" s="25">
        <f>(AD25+5000)*1.05</f>
        <v>107100</v>
      </c>
      <c r="H25" s="40"/>
      <c r="K25" s="120" t="s">
        <v>5</v>
      </c>
      <c r="L25" s="121"/>
      <c r="M25" s="82"/>
      <c r="R25" s="95">
        <v>122000</v>
      </c>
      <c r="S25" s="25">
        <v>118000</v>
      </c>
      <c r="AC25" s="29">
        <f t="shared" si="5"/>
        <v>0</v>
      </c>
      <c r="AD25" s="25">
        <v>97000</v>
      </c>
    </row>
    <row r="26" spans="2:30" s="27" customFormat="1" ht="15.75" customHeight="1" thickBot="1">
      <c r="B26" s="28">
        <v>1</v>
      </c>
      <c r="C26" s="29">
        <f t="shared" si="2"/>
        <v>131760</v>
      </c>
      <c r="E26" s="38">
        <v>1</v>
      </c>
      <c r="F26" s="25">
        <f aca="true" t="shared" si="6" ref="F26:F37">(AD26+1500)*1.18</f>
        <v>112690</v>
      </c>
      <c r="H26" s="94" t="s">
        <v>58</v>
      </c>
      <c r="I26" s="89"/>
      <c r="K26" s="44" t="s">
        <v>0</v>
      </c>
      <c r="L26" s="45" t="s">
        <v>82</v>
      </c>
      <c r="M26" s="82"/>
      <c r="R26" s="95">
        <v>122000</v>
      </c>
      <c r="S26" s="25">
        <v>110000</v>
      </c>
      <c r="AC26" s="29">
        <f t="shared" si="5"/>
        <v>0</v>
      </c>
      <c r="AD26" s="25">
        <v>94000</v>
      </c>
    </row>
    <row r="27" spans="2:30" s="27" customFormat="1" ht="15.75" customHeight="1" thickBot="1">
      <c r="B27" s="28">
        <v>1.1</v>
      </c>
      <c r="C27" s="29">
        <f t="shared" si="2"/>
        <v>125280.00000000001</v>
      </c>
      <c r="E27" s="38">
        <v>1.1</v>
      </c>
      <c r="F27" s="25">
        <f t="shared" si="6"/>
        <v>105610</v>
      </c>
      <c r="H27" s="115" t="s">
        <v>6</v>
      </c>
      <c r="I27" s="116"/>
      <c r="K27" s="48">
        <v>1</v>
      </c>
      <c r="L27" s="65">
        <f aca="true" t="shared" si="7" ref="L27:L40">AF30*1.1</f>
        <v>275000</v>
      </c>
      <c r="M27" s="82"/>
      <c r="R27" s="95">
        <v>116000</v>
      </c>
      <c r="S27" s="25">
        <v>100000</v>
      </c>
      <c r="AC27" s="29">
        <f t="shared" si="5"/>
        <v>0</v>
      </c>
      <c r="AD27" s="25">
        <v>88000</v>
      </c>
    </row>
    <row r="28" spans="2:30" s="27" customFormat="1" ht="15.75" customHeight="1" thickBot="1">
      <c r="B28" s="28">
        <v>1.2</v>
      </c>
      <c r="C28" s="29">
        <f t="shared" si="2"/>
        <v>125280.00000000001</v>
      </c>
      <c r="E28" s="38">
        <v>1.2</v>
      </c>
      <c r="F28" s="25">
        <f t="shared" si="6"/>
        <v>102070</v>
      </c>
      <c r="H28" s="44" t="s">
        <v>0</v>
      </c>
      <c r="I28" s="45" t="s">
        <v>55</v>
      </c>
      <c r="K28" s="51">
        <v>1.5</v>
      </c>
      <c r="L28" s="65">
        <f t="shared" si="7"/>
        <v>231000.00000000003</v>
      </c>
      <c r="M28" s="82"/>
      <c r="R28" s="95">
        <v>116000</v>
      </c>
      <c r="S28" s="25">
        <v>97000</v>
      </c>
      <c r="U28" s="27" t="s">
        <v>54</v>
      </c>
      <c r="AC28" s="29">
        <f t="shared" si="5"/>
        <v>0</v>
      </c>
      <c r="AD28" s="25">
        <v>85000</v>
      </c>
    </row>
    <row r="29" spans="2:32" s="27" customFormat="1" ht="15.75" customHeight="1" thickBot="1">
      <c r="B29" s="28">
        <v>1.3</v>
      </c>
      <c r="C29" s="29">
        <f t="shared" si="2"/>
        <v>120960.00000000001</v>
      </c>
      <c r="E29" s="38">
        <v>1.3</v>
      </c>
      <c r="F29" s="25">
        <f t="shared" si="6"/>
        <v>93810</v>
      </c>
      <c r="H29" s="46">
        <v>0.8</v>
      </c>
      <c r="I29" s="49">
        <f aca="true" t="shared" si="8" ref="I29:I52">U29*1.42</f>
        <v>112650.01999999999</v>
      </c>
      <c r="K29" s="48">
        <v>2</v>
      </c>
      <c r="L29" s="65">
        <f t="shared" si="7"/>
        <v>132000</v>
      </c>
      <c r="M29" s="82"/>
      <c r="R29" s="95">
        <v>112000</v>
      </c>
      <c r="S29" s="25">
        <v>78000</v>
      </c>
      <c r="U29" s="96">
        <v>79331</v>
      </c>
      <c r="AC29" s="29">
        <f t="shared" si="5"/>
        <v>0</v>
      </c>
      <c r="AD29" s="25">
        <v>78000</v>
      </c>
      <c r="AF29" s="27" t="s">
        <v>60</v>
      </c>
    </row>
    <row r="30" spans="2:32" s="27" customFormat="1" ht="15.75" customHeight="1" thickBot="1">
      <c r="B30" s="28">
        <v>1.4</v>
      </c>
      <c r="C30" s="29">
        <f t="shared" si="2"/>
        <v>118800.00000000001</v>
      </c>
      <c r="E30" s="47">
        <v>1.4</v>
      </c>
      <c r="F30" s="25">
        <f t="shared" si="6"/>
        <v>93810</v>
      </c>
      <c r="H30" s="46">
        <v>0.9</v>
      </c>
      <c r="I30" s="49">
        <f t="shared" si="8"/>
        <v>108695.31999999999</v>
      </c>
      <c r="K30" s="51">
        <v>2.5</v>
      </c>
      <c r="L30" s="65">
        <f t="shared" si="7"/>
        <v>126500.00000000001</v>
      </c>
      <c r="M30" s="82"/>
      <c r="R30" s="95">
        <v>110000</v>
      </c>
      <c r="S30" s="25">
        <v>76000</v>
      </c>
      <c r="U30" s="96">
        <v>76546</v>
      </c>
      <c r="AC30" s="29">
        <f t="shared" si="5"/>
        <v>0</v>
      </c>
      <c r="AD30" s="25">
        <v>78000</v>
      </c>
      <c r="AF30" s="65">
        <v>250000</v>
      </c>
    </row>
    <row r="31" spans="2:32" s="27" customFormat="1" ht="15.75" customHeight="1" thickBot="1">
      <c r="B31" s="50">
        <v>1.5</v>
      </c>
      <c r="C31" s="29">
        <f t="shared" si="2"/>
        <v>118800.00000000001</v>
      </c>
      <c r="E31" s="38">
        <v>1.5</v>
      </c>
      <c r="F31" s="25">
        <f t="shared" si="6"/>
        <v>91450</v>
      </c>
      <c r="H31" s="46">
        <v>1</v>
      </c>
      <c r="I31" s="49">
        <f t="shared" si="8"/>
        <v>105209.22</v>
      </c>
      <c r="K31" s="51">
        <v>3</v>
      </c>
      <c r="L31" s="65">
        <f t="shared" si="7"/>
        <v>126500.00000000001</v>
      </c>
      <c r="M31" s="82"/>
      <c r="R31" s="95">
        <v>110000</v>
      </c>
      <c r="S31" s="25">
        <v>76000</v>
      </c>
      <c r="U31" s="96">
        <v>74091</v>
      </c>
      <c r="AC31" s="29">
        <f t="shared" si="5"/>
        <v>0</v>
      </c>
      <c r="AD31" s="25">
        <v>76000</v>
      </c>
      <c r="AF31" s="65">
        <v>210000</v>
      </c>
    </row>
    <row r="32" spans="2:32" s="27" customFormat="1" ht="15.75" customHeight="1" thickBot="1">
      <c r="B32" s="50">
        <v>1.6</v>
      </c>
      <c r="C32" s="29">
        <f t="shared" si="2"/>
        <v>116640.00000000001</v>
      </c>
      <c r="E32" s="38">
        <v>1.6</v>
      </c>
      <c r="F32" s="25">
        <f t="shared" si="6"/>
        <v>91332</v>
      </c>
      <c r="H32" s="52" t="s">
        <v>7</v>
      </c>
      <c r="I32" s="49">
        <f t="shared" si="8"/>
        <v>99658.43999999999</v>
      </c>
      <c r="K32" s="51">
        <v>3.5</v>
      </c>
      <c r="L32" s="65">
        <f t="shared" si="7"/>
        <v>121000.00000000001</v>
      </c>
      <c r="M32" s="82"/>
      <c r="R32" s="95">
        <v>108000</v>
      </c>
      <c r="S32" s="25">
        <v>75900</v>
      </c>
      <c r="U32" s="96">
        <v>70182</v>
      </c>
      <c r="AC32" s="29">
        <f t="shared" si="5"/>
        <v>0</v>
      </c>
      <c r="AD32" s="25">
        <v>75900</v>
      </c>
      <c r="AF32" s="66">
        <v>120000</v>
      </c>
    </row>
    <row r="33" spans="2:32" s="27" customFormat="1" ht="15.75" customHeight="1" thickBot="1">
      <c r="B33" s="50">
        <v>1.7</v>
      </c>
      <c r="C33" s="29">
        <f t="shared" si="2"/>
        <v>116640.00000000001</v>
      </c>
      <c r="E33" s="38">
        <v>1.7</v>
      </c>
      <c r="F33" s="25">
        <f t="shared" si="6"/>
        <v>90152</v>
      </c>
      <c r="H33" s="52" t="s">
        <v>8</v>
      </c>
      <c r="I33" s="49">
        <f t="shared" si="8"/>
        <v>97282.78</v>
      </c>
      <c r="K33" s="51">
        <v>4</v>
      </c>
      <c r="L33" s="65">
        <f t="shared" si="7"/>
        <v>121000.00000000001</v>
      </c>
      <c r="M33" s="82"/>
      <c r="R33" s="95">
        <v>108000</v>
      </c>
      <c r="S33" s="25">
        <v>74900</v>
      </c>
      <c r="U33" s="96">
        <v>68509</v>
      </c>
      <c r="AC33" s="29">
        <f t="shared" si="5"/>
        <v>0</v>
      </c>
      <c r="AD33" s="25">
        <v>74900</v>
      </c>
      <c r="AF33" s="66">
        <v>115000</v>
      </c>
    </row>
    <row r="34" spans="2:32" s="27" customFormat="1" ht="15.75" customHeight="1" thickBot="1">
      <c r="B34" s="28">
        <v>1.8</v>
      </c>
      <c r="C34" s="29">
        <f t="shared" si="2"/>
        <v>114480.00000000001</v>
      </c>
      <c r="E34" s="47">
        <v>1.8</v>
      </c>
      <c r="F34" s="25">
        <f t="shared" si="6"/>
        <v>90152</v>
      </c>
      <c r="H34" s="52" t="s">
        <v>9</v>
      </c>
      <c r="I34" s="49">
        <f t="shared" si="8"/>
        <v>95533.34</v>
      </c>
      <c r="K34" s="51">
        <v>5</v>
      </c>
      <c r="L34" s="65">
        <f t="shared" si="7"/>
        <v>118800.00000000001</v>
      </c>
      <c r="M34" s="82"/>
      <c r="R34" s="95">
        <v>106000</v>
      </c>
      <c r="S34" s="25">
        <v>72000</v>
      </c>
      <c r="U34" s="96">
        <v>67277</v>
      </c>
      <c r="AC34" s="29">
        <f t="shared" si="5"/>
        <v>0</v>
      </c>
      <c r="AD34" s="25">
        <v>74900</v>
      </c>
      <c r="AF34" s="66">
        <v>115000</v>
      </c>
    </row>
    <row r="35" spans="2:32" s="27" customFormat="1" ht="15.75" customHeight="1" thickBot="1">
      <c r="B35" s="28">
        <v>1.9</v>
      </c>
      <c r="C35" s="29">
        <f t="shared" si="2"/>
        <v>112320.00000000001</v>
      </c>
      <c r="E35" s="38">
        <v>1.9</v>
      </c>
      <c r="F35" s="25">
        <f t="shared" si="6"/>
        <v>88500</v>
      </c>
      <c r="H35" s="52" t="s">
        <v>10</v>
      </c>
      <c r="I35" s="49">
        <f t="shared" si="8"/>
        <v>93629.12</v>
      </c>
      <c r="K35" s="51">
        <v>6</v>
      </c>
      <c r="L35" s="65">
        <f t="shared" si="7"/>
        <v>115500.00000000001</v>
      </c>
      <c r="M35" s="82"/>
      <c r="R35" s="95">
        <v>104000</v>
      </c>
      <c r="S35" s="25">
        <v>73500</v>
      </c>
      <c r="U35" s="96">
        <v>65936</v>
      </c>
      <c r="AC35" s="29">
        <f t="shared" si="5"/>
        <v>0</v>
      </c>
      <c r="AD35" s="25">
        <v>73500</v>
      </c>
      <c r="AF35" s="66">
        <v>110000</v>
      </c>
    </row>
    <row r="36" spans="2:32" s="27" customFormat="1" ht="15.75" customHeight="1" thickBot="1">
      <c r="B36" s="28">
        <v>2</v>
      </c>
      <c r="C36" s="29">
        <f t="shared" si="2"/>
        <v>110160</v>
      </c>
      <c r="E36" s="38">
        <v>2</v>
      </c>
      <c r="F36" s="25">
        <f t="shared" si="6"/>
        <v>88500</v>
      </c>
      <c r="H36" s="52" t="s">
        <v>11</v>
      </c>
      <c r="I36" s="49">
        <f t="shared" si="8"/>
        <v>92047.23999999999</v>
      </c>
      <c r="K36" s="51">
        <v>7</v>
      </c>
      <c r="L36" s="65">
        <f t="shared" si="7"/>
        <v>115500.00000000001</v>
      </c>
      <c r="M36" s="82"/>
      <c r="R36" s="95">
        <v>102000</v>
      </c>
      <c r="S36" s="25">
        <v>73500</v>
      </c>
      <c r="U36" s="96">
        <v>64822</v>
      </c>
      <c r="AC36" s="29">
        <f t="shared" si="5"/>
        <v>0</v>
      </c>
      <c r="AD36" s="25">
        <v>73500</v>
      </c>
      <c r="AF36" s="66">
        <v>110000</v>
      </c>
    </row>
    <row r="37" spans="2:32" s="27" customFormat="1" ht="15.75" customHeight="1" thickBot="1">
      <c r="B37" s="28">
        <v>2.1</v>
      </c>
      <c r="C37" s="29">
        <f t="shared" si="2"/>
        <v>108000</v>
      </c>
      <c r="E37" s="38">
        <v>2.1</v>
      </c>
      <c r="F37" s="25">
        <f t="shared" si="6"/>
        <v>88500</v>
      </c>
      <c r="H37" s="52" t="s">
        <v>12</v>
      </c>
      <c r="I37" s="49">
        <f t="shared" si="8"/>
        <v>90939.64</v>
      </c>
      <c r="K37" s="51">
        <v>8</v>
      </c>
      <c r="L37" s="65">
        <f t="shared" si="7"/>
        <v>115500.00000000001</v>
      </c>
      <c r="M37" s="82"/>
      <c r="R37" s="95">
        <v>100000</v>
      </c>
      <c r="S37" s="25">
        <v>73500</v>
      </c>
      <c r="U37" s="96">
        <v>64042</v>
      </c>
      <c r="AC37" s="29">
        <f t="shared" si="5"/>
        <v>0</v>
      </c>
      <c r="AD37" s="25">
        <v>73500</v>
      </c>
      <c r="AF37" s="66">
        <v>108000</v>
      </c>
    </row>
    <row r="38" spans="2:32" s="27" customFormat="1" ht="15.75" customHeight="1" thickBot="1">
      <c r="B38" s="28">
        <v>2.2</v>
      </c>
      <c r="C38" s="29">
        <f t="shared" si="2"/>
        <v>105840</v>
      </c>
      <c r="E38" s="47">
        <v>2.2</v>
      </c>
      <c r="F38" s="25">
        <f>(AD38+1500)*1.18</f>
        <v>88500</v>
      </c>
      <c r="H38" s="52" t="s">
        <v>13</v>
      </c>
      <c r="I38" s="49">
        <f t="shared" si="8"/>
        <v>89989.65999999999</v>
      </c>
      <c r="K38" s="51">
        <v>9</v>
      </c>
      <c r="L38" s="65">
        <f t="shared" si="7"/>
        <v>110000.00000000001</v>
      </c>
      <c r="M38" s="82"/>
      <c r="R38" s="95">
        <v>98000</v>
      </c>
      <c r="S38" s="25">
        <v>71000</v>
      </c>
      <c r="U38" s="96">
        <v>63373</v>
      </c>
      <c r="AC38" s="29">
        <f t="shared" si="5"/>
        <v>0</v>
      </c>
      <c r="AD38" s="25">
        <v>73500</v>
      </c>
      <c r="AF38" s="66">
        <v>105000</v>
      </c>
    </row>
    <row r="39" spans="2:32" s="27" customFormat="1" ht="15.75" customHeight="1" thickBot="1">
      <c r="B39" s="28">
        <v>2.3</v>
      </c>
      <c r="C39" s="29">
        <f t="shared" si="2"/>
        <v>105840</v>
      </c>
      <c r="E39" s="38">
        <v>2.3</v>
      </c>
      <c r="F39" s="25">
        <f aca="true" t="shared" si="9" ref="F39:F48">(AD39+4000)*1.05</f>
        <v>81375</v>
      </c>
      <c r="H39" s="52" t="s">
        <v>14</v>
      </c>
      <c r="I39" s="49">
        <f t="shared" si="8"/>
        <v>88723.01999999999</v>
      </c>
      <c r="K39" s="53">
        <v>10</v>
      </c>
      <c r="L39" s="65">
        <f t="shared" si="7"/>
        <v>110000.00000000001</v>
      </c>
      <c r="M39" s="82"/>
      <c r="R39" s="95">
        <v>98000</v>
      </c>
      <c r="S39" s="25">
        <v>73500</v>
      </c>
      <c r="U39" s="96">
        <v>62481</v>
      </c>
      <c r="AC39" s="29">
        <f t="shared" si="5"/>
        <v>0</v>
      </c>
      <c r="AD39" s="25">
        <v>73500</v>
      </c>
      <c r="AF39" s="66">
        <v>105000</v>
      </c>
    </row>
    <row r="40" spans="2:32" s="27" customFormat="1" ht="15.75" customHeight="1" thickBot="1">
      <c r="B40" s="28">
        <v>2.5</v>
      </c>
      <c r="C40" s="29">
        <f t="shared" si="2"/>
        <v>103680</v>
      </c>
      <c r="E40" s="38">
        <v>2.5</v>
      </c>
      <c r="F40" s="25">
        <f t="shared" si="9"/>
        <v>81375</v>
      </c>
      <c r="H40" s="52" t="s">
        <v>15</v>
      </c>
      <c r="I40" s="49">
        <f t="shared" si="8"/>
        <v>88566.81999999999</v>
      </c>
      <c r="K40" s="51">
        <v>11</v>
      </c>
      <c r="L40" s="65">
        <f t="shared" si="7"/>
        <v>132000</v>
      </c>
      <c r="M40" s="82"/>
      <c r="R40" s="95">
        <v>96000</v>
      </c>
      <c r="S40" s="25">
        <v>73500</v>
      </c>
      <c r="U40" s="96">
        <v>62371</v>
      </c>
      <c r="AC40" s="29">
        <f t="shared" si="5"/>
        <v>0</v>
      </c>
      <c r="AD40" s="25">
        <v>73500</v>
      </c>
      <c r="AF40" s="66">
        <v>105000</v>
      </c>
    </row>
    <row r="41" spans="2:32" s="27" customFormat="1" ht="15.75" customHeight="1" thickBot="1">
      <c r="B41" s="28">
        <v>2.8</v>
      </c>
      <c r="C41" s="29">
        <f t="shared" si="2"/>
        <v>102600</v>
      </c>
      <c r="E41" s="30">
        <v>2.8</v>
      </c>
      <c r="F41" s="25">
        <f t="shared" si="9"/>
        <v>79695</v>
      </c>
      <c r="H41" s="52" t="s">
        <v>16</v>
      </c>
      <c r="I41" s="49">
        <f t="shared" si="8"/>
        <v>87450.7</v>
      </c>
      <c r="K41" s="53">
        <v>12</v>
      </c>
      <c r="L41" s="65">
        <f>AF44*1.1</f>
        <v>132000</v>
      </c>
      <c r="M41" s="82"/>
      <c r="R41" s="95">
        <v>95000</v>
      </c>
      <c r="S41" s="25">
        <v>71900</v>
      </c>
      <c r="U41" s="96">
        <v>61585</v>
      </c>
      <c r="AC41" s="29">
        <f t="shared" si="5"/>
        <v>0</v>
      </c>
      <c r="AD41" s="25">
        <v>71900</v>
      </c>
      <c r="AF41" s="66">
        <v>100000</v>
      </c>
    </row>
    <row r="42" spans="2:32" s="27" customFormat="1" ht="15.75" customHeight="1" thickBot="1">
      <c r="B42" s="28">
        <v>3</v>
      </c>
      <c r="C42" s="29">
        <f t="shared" si="2"/>
        <v>102600</v>
      </c>
      <c r="E42" s="30">
        <v>3</v>
      </c>
      <c r="F42" s="25">
        <f t="shared" si="9"/>
        <v>79695</v>
      </c>
      <c r="H42" s="52" t="s">
        <v>17</v>
      </c>
      <c r="I42" s="49">
        <f t="shared" si="8"/>
        <v>85867.4</v>
      </c>
      <c r="M42" s="82"/>
      <c r="R42" s="95">
        <v>95000</v>
      </c>
      <c r="S42" s="25">
        <v>71900</v>
      </c>
      <c r="U42" s="96">
        <v>60470</v>
      </c>
      <c r="AC42" s="29">
        <f t="shared" si="5"/>
        <v>0</v>
      </c>
      <c r="AD42" s="25">
        <v>71900</v>
      </c>
      <c r="AF42" s="66">
        <v>100000</v>
      </c>
    </row>
    <row r="43" spans="2:32" s="27" customFormat="1" ht="15.75" customHeight="1" thickBot="1">
      <c r="B43" s="28">
        <v>3.2</v>
      </c>
      <c r="C43" s="29">
        <f t="shared" si="2"/>
        <v>101520</v>
      </c>
      <c r="E43" s="30">
        <v>3.2</v>
      </c>
      <c r="F43" s="25">
        <f t="shared" si="9"/>
        <v>79695</v>
      </c>
      <c r="H43" s="52" t="s">
        <v>18</v>
      </c>
      <c r="I43" s="49">
        <f t="shared" si="8"/>
        <v>84916</v>
      </c>
      <c r="K43" s="90" t="s">
        <v>69</v>
      </c>
      <c r="L43" s="91"/>
      <c r="M43" s="82"/>
      <c r="R43" s="95">
        <v>94000</v>
      </c>
      <c r="S43" s="25">
        <v>71900</v>
      </c>
      <c r="U43" s="96">
        <v>59800</v>
      </c>
      <c r="AC43" s="29">
        <f t="shared" si="5"/>
        <v>0</v>
      </c>
      <c r="AD43" s="25">
        <v>71900</v>
      </c>
      <c r="AF43" s="66">
        <v>120000</v>
      </c>
    </row>
    <row r="44" spans="2:32" s="27" customFormat="1" ht="15.75" customHeight="1" thickBot="1">
      <c r="B44" s="28">
        <v>3.5</v>
      </c>
      <c r="C44" s="29">
        <f t="shared" si="2"/>
        <v>100440</v>
      </c>
      <c r="E44" s="30">
        <v>3.5</v>
      </c>
      <c r="F44" s="25">
        <f t="shared" si="9"/>
        <v>79695</v>
      </c>
      <c r="H44" s="52" t="s">
        <v>19</v>
      </c>
      <c r="I44" s="49">
        <f t="shared" si="8"/>
        <v>83802.72</v>
      </c>
      <c r="K44" s="97" t="s">
        <v>4</v>
      </c>
      <c r="L44" s="98"/>
      <c r="M44" s="82"/>
      <c r="R44" s="95">
        <v>93000</v>
      </c>
      <c r="S44" s="25">
        <v>71900</v>
      </c>
      <c r="U44" s="96">
        <v>59016</v>
      </c>
      <c r="AC44" s="29">
        <f t="shared" si="5"/>
        <v>0</v>
      </c>
      <c r="AD44" s="25">
        <v>71900</v>
      </c>
      <c r="AF44" s="66">
        <v>120000</v>
      </c>
    </row>
    <row r="45" spans="2:30" s="27" customFormat="1" ht="15.75" customHeight="1" thickBot="1">
      <c r="B45" s="54">
        <v>4</v>
      </c>
      <c r="C45" s="29">
        <f t="shared" si="2"/>
        <v>99360</v>
      </c>
      <c r="E45" s="30">
        <v>4</v>
      </c>
      <c r="F45" s="25">
        <f t="shared" si="9"/>
        <v>79695</v>
      </c>
      <c r="H45" s="52" t="s">
        <v>20</v>
      </c>
      <c r="I45" s="49">
        <f t="shared" si="8"/>
        <v>83335.54</v>
      </c>
      <c r="K45" s="26" t="s">
        <v>0</v>
      </c>
      <c r="L45" s="1" t="s">
        <v>81</v>
      </c>
      <c r="M45" s="82"/>
      <c r="R45" s="95">
        <v>92000</v>
      </c>
      <c r="S45" s="25">
        <v>71900</v>
      </c>
      <c r="U45" s="96">
        <v>58687</v>
      </c>
      <c r="AC45" s="29">
        <f t="shared" si="5"/>
        <v>0</v>
      </c>
      <c r="AD45" s="25">
        <v>71900</v>
      </c>
    </row>
    <row r="46" spans="2:30" s="27" customFormat="1" ht="15.75" customHeight="1" thickBot="1">
      <c r="B46" s="28">
        <v>5</v>
      </c>
      <c r="C46" s="29">
        <f t="shared" si="2"/>
        <v>99360</v>
      </c>
      <c r="E46" s="30">
        <v>5</v>
      </c>
      <c r="F46" s="25">
        <f t="shared" si="9"/>
        <v>79695</v>
      </c>
      <c r="H46" s="52" t="s">
        <v>21</v>
      </c>
      <c r="I46" s="49">
        <f t="shared" si="8"/>
        <v>82378.45999999999</v>
      </c>
      <c r="K46" s="33">
        <v>3</v>
      </c>
      <c r="L46" s="34">
        <v>99000</v>
      </c>
      <c r="M46" s="82"/>
      <c r="R46" s="95">
        <v>92000</v>
      </c>
      <c r="S46" s="25">
        <v>71900</v>
      </c>
      <c r="U46" s="96">
        <v>58013</v>
      </c>
      <c r="AC46" s="29">
        <f t="shared" si="5"/>
        <v>0</v>
      </c>
      <c r="AD46" s="25">
        <v>71900</v>
      </c>
    </row>
    <row r="47" spans="2:30" s="27" customFormat="1" ht="15.75" customHeight="1" thickBot="1">
      <c r="B47" s="54">
        <v>6</v>
      </c>
      <c r="C47" s="29">
        <f t="shared" si="2"/>
        <v>99360</v>
      </c>
      <c r="E47" s="30">
        <v>6</v>
      </c>
      <c r="F47" s="25">
        <f t="shared" si="9"/>
        <v>79695</v>
      </c>
      <c r="H47" s="52" t="s">
        <v>22</v>
      </c>
      <c r="I47" s="49">
        <f t="shared" si="8"/>
        <v>79839.5</v>
      </c>
      <c r="K47" s="36">
        <v>4</v>
      </c>
      <c r="L47" s="34">
        <v>96000</v>
      </c>
      <c r="M47" s="82"/>
      <c r="R47" s="95">
        <v>92000</v>
      </c>
      <c r="S47" s="25">
        <v>71900</v>
      </c>
      <c r="U47" s="96">
        <v>56225</v>
      </c>
      <c r="AC47" s="29">
        <f t="shared" si="5"/>
        <v>0</v>
      </c>
      <c r="AD47" s="25">
        <v>71900</v>
      </c>
    </row>
    <row r="48" spans="2:30" s="27" customFormat="1" ht="15.75" customHeight="1" thickBot="1">
      <c r="B48" s="40"/>
      <c r="E48" s="30">
        <v>7</v>
      </c>
      <c r="F48" s="25">
        <f t="shared" si="9"/>
        <v>79695</v>
      </c>
      <c r="H48" s="52" t="s">
        <v>23</v>
      </c>
      <c r="I48" s="49">
        <f t="shared" si="8"/>
        <v>79527.09999999999</v>
      </c>
      <c r="K48" s="36">
        <v>5</v>
      </c>
      <c r="L48" s="34">
        <v>93000</v>
      </c>
      <c r="M48" s="82"/>
      <c r="R48" s="95">
        <v>92000</v>
      </c>
      <c r="S48" s="25">
        <v>71900</v>
      </c>
      <c r="U48" s="96">
        <v>56005</v>
      </c>
      <c r="AD48" s="25">
        <v>71900</v>
      </c>
    </row>
    <row r="49" spans="2:30" s="27" customFormat="1" ht="15.75" customHeight="1" thickBot="1">
      <c r="B49" s="40"/>
      <c r="E49" s="55">
        <v>8</v>
      </c>
      <c r="F49" s="25">
        <f>(AD49+4000)*1.05</f>
        <v>79695</v>
      </c>
      <c r="H49" s="52" t="s">
        <v>24</v>
      </c>
      <c r="I49" s="49">
        <f t="shared" si="8"/>
        <v>79373.73999999999</v>
      </c>
      <c r="K49" s="36">
        <v>6</v>
      </c>
      <c r="L49" s="34">
        <v>93000</v>
      </c>
      <c r="M49" s="82"/>
      <c r="R49" s="95">
        <v>92000</v>
      </c>
      <c r="U49" s="96">
        <v>55897</v>
      </c>
      <c r="AD49" s="25">
        <v>71900</v>
      </c>
    </row>
    <row r="50" spans="2:30" s="27" customFormat="1" ht="15.75" customHeight="1" thickBot="1">
      <c r="B50" s="40"/>
      <c r="E50" s="40"/>
      <c r="H50" s="52" t="s">
        <v>25</v>
      </c>
      <c r="I50" s="49">
        <f t="shared" si="8"/>
        <v>79052.81999999999</v>
      </c>
      <c r="K50" s="36">
        <v>7</v>
      </c>
      <c r="L50" s="34">
        <v>93000</v>
      </c>
      <c r="M50" s="82"/>
      <c r="R50" s="95">
        <v>92000</v>
      </c>
      <c r="U50" s="96">
        <v>55671</v>
      </c>
      <c r="AD50" s="25">
        <v>71900</v>
      </c>
    </row>
    <row r="51" spans="2:30" s="27" customFormat="1" ht="15.75" customHeight="1" thickBot="1">
      <c r="B51" s="40"/>
      <c r="E51" s="17" t="s">
        <v>44</v>
      </c>
      <c r="F51" s="12"/>
      <c r="H51" s="52" t="s">
        <v>26</v>
      </c>
      <c r="I51" s="49">
        <f t="shared" si="8"/>
        <v>78896.62</v>
      </c>
      <c r="K51" s="36">
        <v>8</v>
      </c>
      <c r="L51" s="34">
        <v>88000</v>
      </c>
      <c r="M51" s="82"/>
      <c r="U51" s="96">
        <v>55561</v>
      </c>
      <c r="AD51" s="25">
        <v>71900</v>
      </c>
    </row>
    <row r="52" spans="2:30" s="27" customFormat="1" ht="15.75" customHeight="1" thickBot="1">
      <c r="B52" s="40"/>
      <c r="E52" s="21" t="s">
        <v>45</v>
      </c>
      <c r="F52" s="22"/>
      <c r="H52" s="52" t="s">
        <v>27</v>
      </c>
      <c r="I52" s="49">
        <f t="shared" si="8"/>
        <v>78741.84</v>
      </c>
      <c r="K52" s="36">
        <v>9</v>
      </c>
      <c r="L52" s="34">
        <v>88000</v>
      </c>
      <c r="M52" s="82"/>
      <c r="S52" s="25"/>
      <c r="U52" s="96">
        <v>55452</v>
      </c>
      <c r="AD52" s="25">
        <v>71900</v>
      </c>
    </row>
    <row r="53" spans="2:33" s="27" customFormat="1" ht="15.75" customHeight="1" thickBot="1">
      <c r="B53" s="23" t="s">
        <v>77</v>
      </c>
      <c r="C53" s="24"/>
      <c r="E53" s="56" t="s">
        <v>37</v>
      </c>
      <c r="F53" s="57" t="s">
        <v>38</v>
      </c>
      <c r="H53" s="60" t="s">
        <v>28</v>
      </c>
      <c r="I53" s="49">
        <f>U53*1.42</f>
        <v>78581.37999999999</v>
      </c>
      <c r="K53" s="36">
        <v>10</v>
      </c>
      <c r="L53" s="34">
        <v>88000</v>
      </c>
      <c r="M53" s="82"/>
      <c r="S53" s="25"/>
      <c r="U53" s="96">
        <v>55339</v>
      </c>
      <c r="AD53" s="25">
        <v>71900</v>
      </c>
      <c r="AF53" s="97" t="s">
        <v>4</v>
      </c>
      <c r="AG53" s="98"/>
    </row>
    <row r="54" spans="2:33" s="27" customFormat="1" ht="15.75" customHeight="1" thickBot="1">
      <c r="B54" s="58" t="s">
        <v>33</v>
      </c>
      <c r="C54" s="12"/>
      <c r="E54" s="92" t="s">
        <v>36</v>
      </c>
      <c r="F54" s="92">
        <v>66000</v>
      </c>
      <c r="K54" s="36">
        <v>11</v>
      </c>
      <c r="L54" s="34">
        <v>88000</v>
      </c>
      <c r="M54" s="82"/>
      <c r="S54" s="25"/>
      <c r="U54" s="96"/>
      <c r="AD54" s="25">
        <v>71900</v>
      </c>
      <c r="AF54" s="26" t="s">
        <v>0</v>
      </c>
      <c r="AG54" s="1" t="s">
        <v>61</v>
      </c>
    </row>
    <row r="55" spans="2:33" s="27" customFormat="1" ht="15.75" customHeight="1" thickBot="1">
      <c r="B55" s="61" t="s">
        <v>47</v>
      </c>
      <c r="C55" s="62"/>
      <c r="E55" s="94" t="s">
        <v>70</v>
      </c>
      <c r="F55" s="89"/>
      <c r="H55" s="94" t="s">
        <v>74</v>
      </c>
      <c r="I55" s="89"/>
      <c r="K55" s="39">
        <v>12</v>
      </c>
      <c r="L55" s="34">
        <v>88000</v>
      </c>
      <c r="M55" s="82"/>
      <c r="R55" s="27" t="s">
        <v>71</v>
      </c>
      <c r="S55" s="25"/>
      <c r="U55" s="96"/>
      <c r="AD55" s="25">
        <v>71900</v>
      </c>
      <c r="AF55" s="33">
        <v>3</v>
      </c>
      <c r="AG55" s="34">
        <v>97000</v>
      </c>
    </row>
    <row r="56" spans="2:33" s="27" customFormat="1" ht="15.75" customHeight="1" thickBot="1">
      <c r="B56" s="61" t="s">
        <v>32</v>
      </c>
      <c r="C56" s="62"/>
      <c r="E56" s="93" t="s">
        <v>72</v>
      </c>
      <c r="F56" s="68">
        <v>46710</v>
      </c>
      <c r="H56" s="93" t="s">
        <v>49</v>
      </c>
      <c r="I56" s="93">
        <v>67000</v>
      </c>
      <c r="K56" s="63"/>
      <c r="M56" s="82"/>
      <c r="R56" s="68">
        <v>34600</v>
      </c>
      <c r="S56" s="25"/>
      <c r="U56" s="96"/>
      <c r="AD56" s="25">
        <v>71900</v>
      </c>
      <c r="AF56" s="36">
        <v>4</v>
      </c>
      <c r="AG56" s="34">
        <v>93000</v>
      </c>
    </row>
    <row r="57" spans="2:33" s="27" customFormat="1" ht="15.75" customHeight="1" thickBot="1">
      <c r="B57" s="64" t="s">
        <v>79</v>
      </c>
      <c r="C57" s="22"/>
      <c r="E57" s="59" t="s">
        <v>73</v>
      </c>
      <c r="F57" s="68">
        <v>44685</v>
      </c>
      <c r="H57" s="59" t="s">
        <v>50</v>
      </c>
      <c r="I57" s="59">
        <v>66000</v>
      </c>
      <c r="K57" s="40"/>
      <c r="M57" s="82"/>
      <c r="R57" s="68">
        <v>33100</v>
      </c>
      <c r="S57" s="25"/>
      <c r="U57" s="96"/>
      <c r="AD57" s="25">
        <v>71900</v>
      </c>
      <c r="AF57" s="36">
        <v>5</v>
      </c>
      <c r="AG57" s="34">
        <v>90000</v>
      </c>
    </row>
    <row r="58" spans="21:33" ht="15.75">
      <c r="U58" s="96"/>
      <c r="AF58" s="36">
        <v>6</v>
      </c>
      <c r="AG58" s="34">
        <v>90000</v>
      </c>
    </row>
    <row r="59" spans="2:33" ht="18.75">
      <c r="B59" s="10" t="s">
        <v>40</v>
      </c>
      <c r="AF59" s="36">
        <v>7</v>
      </c>
      <c r="AG59" s="34">
        <v>90000</v>
      </c>
    </row>
    <row r="60" spans="2:33" ht="18">
      <c r="B60" s="11" t="s">
        <v>34</v>
      </c>
      <c r="K60" s="6"/>
      <c r="AF60" s="36">
        <v>8</v>
      </c>
      <c r="AG60" s="34">
        <v>85000</v>
      </c>
    </row>
    <row r="61" spans="2:33" ht="18">
      <c r="B61" s="11" t="s">
        <v>46</v>
      </c>
      <c r="K61" s="6"/>
      <c r="AF61" s="36">
        <v>9</v>
      </c>
      <c r="AG61" s="34">
        <v>85000</v>
      </c>
    </row>
    <row r="62" spans="2:33" ht="21">
      <c r="B62" s="10" t="s">
        <v>48</v>
      </c>
      <c r="I62" s="10" t="s">
        <v>78</v>
      </c>
      <c r="J62" s="15"/>
      <c r="K62" s="14"/>
      <c r="L62" s="16"/>
      <c r="AF62" s="36">
        <v>10</v>
      </c>
      <c r="AG62" s="34">
        <v>85000</v>
      </c>
    </row>
    <row r="63" spans="10:33" ht="21">
      <c r="J63" s="15"/>
      <c r="K63" s="14"/>
      <c r="L63" s="16"/>
      <c r="AF63" s="36">
        <v>11</v>
      </c>
      <c r="AG63" s="34">
        <v>85000</v>
      </c>
    </row>
    <row r="64" spans="2:15" ht="21.75" hidden="1" thickBot="1">
      <c r="B64" s="10"/>
      <c r="J64" s="15"/>
      <c r="K64" s="14"/>
      <c r="L64" s="16"/>
      <c r="N64" s="39">
        <v>12</v>
      </c>
      <c r="O64" s="34">
        <v>85000</v>
      </c>
    </row>
    <row r="65" spans="1:12" ht="18.75">
      <c r="A65" s="19"/>
      <c r="B65" s="10" t="s">
        <v>43</v>
      </c>
      <c r="H65" s="20" t="s">
        <v>42</v>
      </c>
      <c r="L65" s="16"/>
    </row>
    <row r="66" ht="21.75" thickBot="1">
      <c r="B66" s="14" t="s">
        <v>76</v>
      </c>
    </row>
    <row r="67" spans="2:33" ht="18.75">
      <c r="B67" s="18" t="s">
        <v>35</v>
      </c>
      <c r="AF67" s="110" t="s">
        <v>57</v>
      </c>
      <c r="AG67" s="111"/>
    </row>
    <row r="68" spans="32:33" ht="15.75" thickBot="1">
      <c r="AF68" s="112"/>
      <c r="AG68" s="113"/>
    </row>
    <row r="70" ht="15.75" thickBot="1"/>
    <row r="71" spans="32:33" ht="15">
      <c r="AF71" s="110" t="s">
        <v>56</v>
      </c>
      <c r="AG71" s="111"/>
    </row>
    <row r="72" spans="32:33" ht="15.75" thickBot="1">
      <c r="AF72" s="112"/>
      <c r="AG72" s="113"/>
    </row>
  </sheetData>
  <sheetProtection/>
  <mergeCells count="17">
    <mergeCell ref="AF71:AG72"/>
    <mergeCell ref="AF67:AG68"/>
    <mergeCell ref="M4:R4"/>
    <mergeCell ref="H27:I27"/>
    <mergeCell ref="A2:L2"/>
    <mergeCell ref="G4:L4"/>
    <mergeCell ref="A4:F4"/>
    <mergeCell ref="H8:I8"/>
    <mergeCell ref="K25:L25"/>
    <mergeCell ref="AF53:AG53"/>
    <mergeCell ref="K44:L44"/>
    <mergeCell ref="B8:C8"/>
    <mergeCell ref="E8:F8"/>
    <mergeCell ref="B7:F7"/>
    <mergeCell ref="K7:L7"/>
    <mergeCell ref="H7:I7"/>
    <mergeCell ref="K8:L8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5"/>
  <legacyDrawing r:id="rId4"/>
  <oleObjects>
    <oleObject progId="Word.Document.12" shapeId="1577779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2020-10-19T09:10:52Z</cp:lastPrinted>
  <dcterms:created xsi:type="dcterms:W3CDTF">2013-09-04T11:24:13Z</dcterms:created>
  <dcterms:modified xsi:type="dcterms:W3CDTF">2020-10-19T09:12:01Z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